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GBLOW\TP\HA\PROJECTS\5140327 Slough PT support 2015_16 GAMB1938\technical\government grant spend\"/>
    </mc:Choice>
  </mc:AlternateContent>
  <xr:revisionPtr revIDLastSave="0" documentId="13_ncr:1_{6DA63DE2-F7C4-43CF-AA3D-E8AE76F7DAEF}" xr6:coauthVersionLast="47" xr6:coauthVersionMax="47" xr10:uidLastSave="{00000000-0000-0000-0000-000000000000}"/>
  <bookViews>
    <workbookView xWindow="-110" yWindow="-110" windowWidth="19420" windowHeight="11500" activeTab="1" xr2:uid="{CE7927BE-EA10-4A2A-96C2-8ECAB1AF9E3E}"/>
  </bookViews>
  <sheets>
    <sheet name="Instructions" sheetId="7" r:id="rId1"/>
    <sheet name="Delivery Plan" sheetId="3" r:id="rId2"/>
    <sheet name="Scheme categories list" sheetId="6" r:id="rId3"/>
  </sheets>
  <externalReferences>
    <externalReference r:id="rId4"/>
    <externalReference r:id="rId5"/>
  </externalReferences>
  <definedNames>
    <definedName name="_xlnm.Print_Area" localSheetId="1">'Delivery Plan'!$A$1:$Q$18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L5" i="3"/>
  <c r="I5" i="3"/>
  <c r="F4" i="3"/>
  <c r="L4" i="3"/>
  <c r="I4" i="3"/>
  <c r="E9" i="3"/>
  <c r="J8" i="3"/>
  <c r="I8" i="3"/>
  <c r="M13" i="3"/>
  <c r="M14" i="3"/>
  <c r="G13" i="3"/>
  <c r="G14" i="3"/>
  <c r="G8" i="3"/>
  <c r="F8" i="3"/>
  <c r="R13" i="3"/>
  <c r="S13" i="3" s="1"/>
  <c r="R14" i="3"/>
  <c r="S14" i="3" s="1"/>
  <c r="K17" i="3"/>
  <c r="N17" i="3"/>
  <c r="O17" i="3"/>
  <c r="F15" i="3"/>
  <c r="E10" i="3"/>
  <c r="F10" i="3"/>
  <c r="F9" i="3"/>
  <c r="F12" i="3" l="1"/>
  <c r="E11" i="3"/>
  <c r="F11" i="3"/>
  <c r="F7" i="3"/>
  <c r="I7" i="3" s="1"/>
  <c r="E15" i="3" l="1"/>
  <c r="L6" i="3" l="1"/>
  <c r="I6" i="3"/>
  <c r="F6" i="3"/>
  <c r="F17" i="3"/>
  <c r="I17" i="3"/>
  <c r="L7" i="3"/>
  <c r="L9" i="3"/>
  <c r="R9" i="3" s="1"/>
  <c r="S9" i="3" s="1"/>
  <c r="H12" i="3"/>
  <c r="H9" i="3"/>
  <c r="H15" i="3"/>
  <c r="J15" i="3" s="1"/>
  <c r="L15" i="3"/>
  <c r="R15" i="3" s="1"/>
  <c r="S15" i="3" s="1"/>
  <c r="R12" i="3"/>
  <c r="S12" i="3" s="1"/>
  <c r="H10" i="3"/>
  <c r="H11" i="3"/>
  <c r="L11" i="3"/>
  <c r="M11" i="3" s="1"/>
  <c r="P12" i="3"/>
  <c r="E12" i="3" s="1"/>
  <c r="E17" i="3" s="1"/>
  <c r="P11" i="3"/>
  <c r="P10" i="3"/>
  <c r="M12" i="3"/>
  <c r="H17" i="3" l="1"/>
  <c r="R7" i="3"/>
  <c r="S7" i="3" s="1"/>
  <c r="R11" i="3"/>
  <c r="S11" i="3" s="1"/>
  <c r="M15" i="3"/>
  <c r="J10" i="3"/>
  <c r="L10" i="3"/>
  <c r="R10" i="3" s="1"/>
  <c r="S10" i="3" s="1"/>
  <c r="G15" i="3"/>
  <c r="J12" i="3"/>
  <c r="G11" i="3"/>
  <c r="G10" i="3"/>
  <c r="G12" i="3"/>
  <c r="J11" i="3"/>
  <c r="M10" i="3" l="1"/>
  <c r="R6" i="3"/>
  <c r="S6" i="3" s="1"/>
  <c r="R5" i="3"/>
  <c r="S5" i="3" s="1"/>
  <c r="Q17" i="3" l="1"/>
  <c r="P9" i="3"/>
  <c r="P7" i="3"/>
  <c r="P6" i="3"/>
  <c r="P5" i="3"/>
  <c r="P4" i="3"/>
  <c r="P17" i="3" s="1"/>
  <c r="M9" i="3"/>
  <c r="M7" i="3"/>
  <c r="M6" i="3"/>
  <c r="M5" i="3"/>
  <c r="J5" i="3"/>
  <c r="J6" i="3"/>
  <c r="J7" i="3"/>
  <c r="J9" i="3"/>
  <c r="G5" i="3"/>
  <c r="G6" i="3"/>
  <c r="G7" i="3"/>
  <c r="G9" i="3"/>
  <c r="J4" i="3"/>
  <c r="G4" i="3"/>
  <c r="R4" i="3"/>
  <c r="S4" i="3" s="1"/>
  <c r="L17" i="3"/>
  <c r="M4" i="3"/>
  <c r="M17" i="3" s="1"/>
  <c r="G17" i="3" l="1"/>
  <c r="R17" i="3"/>
  <c r="J17" i="3"/>
</calcChain>
</file>

<file path=xl/sharedStrings.xml><?xml version="1.0" encoding="utf-8"?>
<sst xmlns="http://schemas.openxmlformats.org/spreadsheetml/2006/main" count="88" uniqueCount="66">
  <si>
    <t>Capital</t>
  </si>
  <si>
    <t>Revenue</t>
  </si>
  <si>
    <t xml:space="preserve">Total </t>
  </si>
  <si>
    <t>Total</t>
  </si>
  <si>
    <t xml:space="preserve"> </t>
  </si>
  <si>
    <t>Category of scheme/measure</t>
  </si>
  <si>
    <t xml:space="preserve">Capital </t>
  </si>
  <si>
    <t>(of which) 
2025-26 Bus Grant (£k)</t>
  </si>
  <si>
    <t>(of which) 
Other funding (£k)</t>
  </si>
  <si>
    <t>Notes on other funding sources (identifying non-BSIP funding)</t>
  </si>
  <si>
    <t>(of which) previous years' DfT BSIP funding (£k)</t>
  </si>
  <si>
    <t>Bus priority infrastructure</t>
  </si>
  <si>
    <t>Other infrastructure</t>
  </si>
  <si>
    <t>Ticketing equipment/systems</t>
  </si>
  <si>
    <t>Bus service support/network development</t>
  </si>
  <si>
    <t>Simpler/more affordable fares</t>
  </si>
  <si>
    <t>Safety and security</t>
  </si>
  <si>
    <t>Improved information, marketing</t>
  </si>
  <si>
    <t>Development of future proposals</t>
  </si>
  <si>
    <t>LTA delivery/admin costs</t>
  </si>
  <si>
    <t xml:space="preserve">Other </t>
  </si>
  <si>
    <t>Bus stops/stations/interchanges</t>
  </si>
  <si>
    <t>Vehicles</t>
  </si>
  <si>
    <t xml:space="preserve">Additional description of scheme/measure 
(including intended beneficial outcomes) </t>
  </si>
  <si>
    <r>
      <t xml:space="preserve">Category of scheme/measure
</t>
    </r>
    <r>
      <rPr>
        <sz val="11"/>
        <color theme="1"/>
        <rFont val="Arial"/>
        <family val="2"/>
      </rPr>
      <t>[select from drop down list]</t>
    </r>
  </si>
  <si>
    <t>Name of scheme/measure</t>
  </si>
  <si>
    <t>Budget/estimated cost (£k)</t>
  </si>
  <si>
    <t>Target delivery date</t>
  </si>
  <si>
    <t>Guidance on completing the 2025/26 Delivery Plan template</t>
  </si>
  <si>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</si>
  <si>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</si>
  <si>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</si>
  <si>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</si>
  <si>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</si>
  <si>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</si>
  <si>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t>Additional evening and Sunday services</t>
  </si>
  <si>
    <t>Access to Wexham Park Hospital</t>
  </si>
  <si>
    <t>Capacity enhancements</t>
  </si>
  <si>
    <t>Multi-operator ticketing scheme</t>
  </si>
  <si>
    <t>A multi-operator scheme providing for cross-acceptance of tickets and interchange journeys.  Particular benefit to access to Wexham Park Hospital.  An allowance is made in the costing for subsidy to reduce fares.  Customer satisfaction and patronage</t>
  </si>
  <si>
    <t>Town centre bus interchange wayfinding</t>
  </si>
  <si>
    <t>Bus stop development</t>
  </si>
  <si>
    <t>Marginal gains</t>
  </si>
  <si>
    <t>Develop a wayfinding scheme between Slough rail station and Slough town centre interchange bus stops.  Customer satisfaction and patronage</t>
  </si>
  <si>
    <t>Identify and deliver small-scale highway schemes to improve bus journey times and punctuality with a focus on cross-town service 7 (Heathrow Airport - Britwell).  Potential improvements to highway scheme management.  Journey time, punctuality, patronage, customer satisfaction</t>
  </si>
  <si>
    <t>Slough town centre bus interchange bus stops</t>
  </si>
  <si>
    <t>Traffic signal priority</t>
  </si>
  <si>
    <t>Repair existing detection systems at selected junctions heavily used by buses; develop system for providing signal priority at selected junctions.  Journey time, punctuality, patronage, customer satisfaction.</t>
  </si>
  <si>
    <t>Improvements to pedestrian access to bus stops; increase in bus stop and stand capacity; Real Time Passenger Information.  Punctuality, patronage, customer satisfaction</t>
  </si>
  <si>
    <t>check</t>
  </si>
  <si>
    <t>Additional and continued grant funding of services from a number of areas in Slough; joint with Buckinghamshire Council, Heathrow Airport Ltd and Royal Borough of Windsor &amp; Maidenhead.  Customer satisfaction and patronage</t>
  </si>
  <si>
    <t>Additional evening and Sunday services; new route expanding direct bus access to the hospital; joint with Buckinghamshire Council and Royal Borough of Windsor &amp; Maidenhead. Customer satisfaction and patronage</t>
  </si>
  <si>
    <t>Address reported issues of overcrowding on one service; joint with Buckinghamshire Council.  Customer satisfaction and patronage</t>
  </si>
  <si>
    <t>SLOUGH BOROUGH COUNCIL Bus Service Improvement Delivery Plan 2025-26</t>
  </si>
  <si>
    <t>Contribution by GWR under the Stations Fund (subject to confirmation)</t>
  </si>
  <si>
    <t>Slough town centre bus interchange medium-term strategy</t>
  </si>
  <si>
    <t>Zero-emission bus and depot strategy</t>
  </si>
  <si>
    <t>Officer and consultancy delivery support</t>
  </si>
  <si>
    <t>Apr 25 - Sep 25</t>
  </si>
  <si>
    <t>Apr 25 - Jan 26</t>
  </si>
  <si>
    <t xml:space="preserve">Contribution by Heathrow Airport Ltd; other LTA funding also expected to be drawn from BSIP allocations </t>
  </si>
  <si>
    <t>Develop medium to long-term strategy for bus and multi-modal interchange in Slough town centre. Journey time, punctuality, patronage, customer satisfaction.</t>
  </si>
  <si>
    <t>Develop feasibility study for bus and depot electrification.  Patronage, customer satisfaction.</t>
  </si>
  <si>
    <t>Christmas fares promotion</t>
  </si>
  <si>
    <t>Free travel 4 Saturdays before Christmas (joint with RBWM)</t>
  </si>
  <si>
    <t>Accessibility upgrades to 4 identified bus stops where current provision is poor, with further stops to be identified.  Customer satisfaction and patronage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</si>
</sst>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4"/>
      <color theme="1"/>
      <name val="Arial"/>
      <family val="2"/>
    </font>
    <font>
      <b/>
      <sz val="14"/>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5" fillId="0" borderId="0" xfId="0" applyFont="1"/>
    <xf numFmtId="0" fontId="0" fillId="0" borderId="0" xfId="0" applyAlignment="1">
      <alignment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17" fontId="1" fillId="0" borderId="1" xfId="0" applyNumberFormat="1" applyFont="1" applyBorder="1" applyAlignment="1">
      <alignment horizontal="center" vertical="center" wrapText="1"/>
    </xf>
    <xf numFmtId="0" fontId="1" fillId="0" borderId="2" xfId="0" applyFont="1" applyBorder="1" applyAlignment="1">
      <alignment vertical="center"/>
    </xf>
    <xf numFmtId="0" fontId="2" fillId="0" borderId="4" xfId="0" applyFont="1" applyBorder="1" applyAlignment="1">
      <alignment horizontal="center" vertical="center" wrapText="1"/>
    </xf>
    <xf numFmtId="0" fontId="1" fillId="0" borderId="0" xfId="0" applyFont="1" applyAlignment="1">
      <alignment horizontal="center" vertical="center"/>
    </xf>
    <xf numFmtId="0" fontId="1" fillId="2" borderId="8" xfId="0" applyFont="1" applyFill="1" applyBorder="1" applyAlignment="1">
      <alignment horizontal="center" vertical="center"/>
    </xf>
    <xf numFmtId="0" fontId="1" fillId="0" borderId="7" xfId="0" applyFont="1" applyBorder="1" applyAlignment="1">
      <alignment horizontal="center" vertical="center"/>
    </xf>
    <xf numFmtId="3" fontId="1" fillId="2" borderId="1" xfId="0" applyNumberFormat="1"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vertical="center"/>
    </xf>
    <xf numFmtId="3" fontId="1" fillId="0" borderId="0" xfId="0" applyNumberFormat="1" applyFont="1" applyAlignment="1">
      <alignment vertical="center"/>
    </xf>
    <xf numFmtId="0" fontId="1" fillId="3" borderId="8"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xf>
    <xf numFmtId="0" fontId="1" fillId="4" borderId="8" xfId="0" applyFont="1" applyFill="1" applyBorder="1" applyAlignment="1">
      <alignment horizontal="center" vertical="center"/>
    </xf>
    <xf numFmtId="3" fontId="1" fillId="4" borderId="1" xfId="0" applyNumberFormat="1" applyFont="1" applyFill="1" applyBorder="1" applyAlignment="1">
      <alignment horizontal="center" vertical="center"/>
    </xf>
    <xf numFmtId="3" fontId="1" fillId="0" borderId="0" xfId="0" applyNumberFormat="1" applyFont="1" applyAlignment="1">
      <alignment horizontal="center" vertical="center"/>
    </xf>
    <xf numFmtId="3" fontId="1" fillId="3" borderId="22" xfId="0" applyNumberFormat="1" applyFont="1" applyFill="1" applyBorder="1" applyAlignment="1">
      <alignment horizontal="center" vertical="center" wrapText="1"/>
    </xf>
    <xf numFmtId="3" fontId="1" fillId="4" borderId="22" xfId="0" applyNumberFormat="1" applyFont="1" applyFill="1" applyBorder="1" applyAlignment="1">
      <alignment horizontal="center" vertical="center"/>
    </xf>
    <xf numFmtId="3" fontId="1" fillId="2" borderId="22" xfId="0" applyNumberFormat="1" applyFont="1" applyFill="1" applyBorder="1" applyAlignment="1">
      <alignment horizontal="center" vertical="center"/>
    </xf>
    <xf numFmtId="3" fontId="1" fillId="3" borderId="22" xfId="0" applyNumberFormat="1" applyFont="1" applyFill="1" applyBorder="1" applyAlignment="1">
      <alignment horizontal="center" vertical="center"/>
    </xf>
    <xf numFmtId="3" fontId="1" fillId="3" borderId="1" xfId="0" applyNumberFormat="1" applyFont="1" applyFill="1" applyBorder="1" applyAlignment="1">
      <alignment vertical="center"/>
    </xf>
    <xf numFmtId="3" fontId="1" fillId="4" borderId="1" xfId="0" applyNumberFormat="1" applyFont="1" applyFill="1" applyBorder="1" applyAlignment="1">
      <alignment vertical="center"/>
    </xf>
    <xf numFmtId="0" fontId="2" fillId="0" borderId="3"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3" fontId="1" fillId="2" borderId="1" xfId="0" applyNumberFormat="1" applyFont="1" applyFill="1" applyBorder="1" applyAlignment="1">
      <alignment vertical="center"/>
    </xf>
    <xf numFmtId="0" fontId="1" fillId="0" borderId="9" xfId="0" applyFont="1" applyBorder="1" applyAlignment="1">
      <alignment wrapText="1"/>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3" fontId="1" fillId="3" borderId="19" xfId="0" applyNumberFormat="1" applyFont="1" applyFill="1" applyBorder="1" applyAlignment="1">
      <alignment horizontal="center" vertical="center" wrapText="1"/>
    </xf>
    <xf numFmtId="3" fontId="1" fillId="4" borderId="19"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3" borderId="19" xfId="0" applyNumberFormat="1" applyFont="1" applyFill="1" applyBorder="1" applyAlignment="1">
      <alignment horizontal="center" vertical="center"/>
    </xf>
    <xf numFmtId="0" fontId="1" fillId="0" borderId="20" xfId="0" applyFont="1" applyBorder="1" applyAlignment="1">
      <alignment horizontal="center" vertical="center" wrapText="1"/>
    </xf>
    <xf numFmtId="17"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GBLOW\TP\HA\PROJECTS\5140327%20Slough%20PT%20support%202015_16%20GAMB1938\technical\government%20grant%20spend\local%20bus%20service_de%20minimis%20support.xlsm" TargetMode="External"/><Relationship Id="rId1" Type="http://schemas.openxmlformats.org/officeDocument/2006/relationships/externalLinkPath" Target="local%20bus%20service_de%20minimis%20support.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GBLOW\TP\HA\PROJECTS\5140327%20Slough%20PT%20support%202015_16%20GAMB1938\technical\government%20grant%20spend\grant%20funding%20summary_20250214.xlsm" TargetMode="External"/><Relationship Id="rId1" Type="http://schemas.openxmlformats.org/officeDocument/2006/relationships/externalLinkPath" Target="grant%20funding%20summary_202502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ousel ph 1"/>
      <sheetName val="TVB rte 2"/>
      <sheetName val="TVB rte 12"/>
      <sheetName val="First rte 3"/>
      <sheetName val="Carousel ph 2"/>
      <sheetName val="total"/>
    </sheetNames>
    <sheetDataSet>
      <sheetData sheetId="0"/>
      <sheetData sheetId="1"/>
      <sheetData sheetId="2"/>
      <sheetData sheetId="3"/>
      <sheetData sheetId="4"/>
      <sheetData sheetId="5">
        <row r="4">
          <cell r="D4">
            <v>16250</v>
          </cell>
          <cell r="E4">
            <v>12187.5</v>
          </cell>
        </row>
        <row r="5">
          <cell r="D5">
            <v>12500</v>
          </cell>
          <cell r="E5">
            <v>9375</v>
          </cell>
        </row>
        <row r="6">
          <cell r="D6">
            <v>19999.999999999996</v>
          </cell>
          <cell r="E6">
            <v>14999.999999999996</v>
          </cell>
        </row>
        <row r="7">
          <cell r="D7">
            <v>27500</v>
          </cell>
          <cell r="E7">
            <v>20625</v>
          </cell>
        </row>
        <row r="10">
          <cell r="D10">
            <v>64000.000000000015</v>
          </cell>
          <cell r="E10">
            <v>36000</v>
          </cell>
        </row>
        <row r="11">
          <cell r="D11">
            <v>46588</v>
          </cell>
          <cell r="E11">
            <v>46588</v>
          </cell>
        </row>
        <row r="14">
          <cell r="D14">
            <v>17500</v>
          </cell>
          <cell r="E14">
            <v>21174.5</v>
          </cell>
        </row>
        <row r="15">
          <cell r="D15">
            <v>52500</v>
          </cell>
          <cell r="E15">
            <v>67860.25</v>
          </cell>
          <cell r="F15">
            <v>120360.25</v>
          </cell>
        </row>
        <row r="18">
          <cell r="D18">
            <v>29988</v>
          </cell>
          <cell r="E18">
            <v>37699.5</v>
          </cell>
        </row>
        <row r="19">
          <cell r="D19">
            <v>21875</v>
          </cell>
          <cell r="E19">
            <v>37500</v>
          </cell>
        </row>
        <row r="26">
          <cell r="D26">
            <v>42833</v>
          </cell>
          <cell r="E26">
            <v>41428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TF summary"/>
      <sheetName val="Sheet1"/>
      <sheetName val="LTF detail"/>
      <sheetName val="BSIP proposal"/>
      <sheetName val="Del Plan rev Jun 25"/>
      <sheetName val="Sheet2"/>
      <sheetName val="Sheet3"/>
      <sheetName val="Sheet4"/>
    </sheetNames>
    <sheetDataSet>
      <sheetData sheetId="0"/>
      <sheetData sheetId="1"/>
      <sheetData sheetId="2"/>
      <sheetData sheetId="3">
        <row r="26">
          <cell r="K26">
            <v>100000</v>
          </cell>
        </row>
        <row r="38">
          <cell r="H38">
            <v>90000</v>
          </cell>
        </row>
        <row r="43">
          <cell r="K43">
            <v>225000</v>
          </cell>
        </row>
      </sheetData>
      <sheetData sheetId="4">
        <row r="19">
          <cell r="I19">
            <v>50000</v>
          </cell>
        </row>
        <row r="24">
          <cell r="H24">
            <v>50000</v>
          </cell>
          <cell r="I24">
            <v>110000</v>
          </cell>
          <cell r="J24">
            <v>0</v>
          </cell>
        </row>
        <row r="26">
          <cell r="H26">
            <v>25000</v>
          </cell>
          <cell r="K26">
            <v>100000</v>
          </cell>
        </row>
        <row r="28">
          <cell r="H28">
            <v>2500</v>
          </cell>
        </row>
        <row r="29">
          <cell r="K29">
            <v>25000</v>
          </cell>
        </row>
        <row r="30">
          <cell r="H30">
            <v>5000</v>
          </cell>
        </row>
        <row r="31">
          <cell r="K31">
            <v>25000</v>
          </cell>
        </row>
        <row r="32">
          <cell r="H32">
            <v>2500</v>
          </cell>
        </row>
        <row r="33">
          <cell r="K33">
            <v>25000</v>
          </cell>
        </row>
        <row r="38">
          <cell r="H38">
            <v>90000</v>
          </cell>
          <cell r="K38">
            <v>225000</v>
          </cell>
        </row>
        <row r="43">
          <cell r="H43">
            <v>100000</v>
          </cell>
          <cell r="K43">
            <v>225000</v>
          </cell>
        </row>
        <row r="45">
          <cell r="H45">
            <v>10000</v>
          </cell>
        </row>
        <row r="47">
          <cell r="K47">
            <v>225000</v>
          </cell>
        </row>
        <row r="55">
          <cell r="K55">
            <v>67715</v>
          </cell>
        </row>
      </sheetData>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topLeftCell="A5" workbookViewId="0">
      <selection activeCell="C5" sqref="C5"/>
    </sheetView>
  </sheetViews>
  <sheetFormatPr defaultRowHeight="14.5" x14ac:dyDescent="0.35"/>
  <cols>
    <col min="1" max="1" width="150.7265625" customWidth="1"/>
  </cols>
  <sheetData>
    <row r="1" spans="1:1" ht="18.5" x14ac:dyDescent="0.45">
      <c r="A1" s="1" t="s">
        <v>28</v>
      </c>
    </row>
    <row r="2" spans="1:1" ht="18.5" x14ac:dyDescent="0.45">
      <c r="A2" s="1"/>
    </row>
    <row r="3" spans="1:1" x14ac:dyDescent="0.35">
      <c r="A3" t="s">
        <v>30</v>
      </c>
    </row>
    <row r="4" spans="1:1" ht="53" customHeight="1" x14ac:dyDescent="0.35">
      <c r="A4" s="2" t="s">
        <v>29</v>
      </c>
    </row>
    <row r="5" spans="1:1" ht="155" customHeight="1" x14ac:dyDescent="0.35">
      <c r="A5" s="2" t="s">
        <v>33</v>
      </c>
    </row>
    <row r="6" spans="1:1" ht="120.5" customHeight="1" x14ac:dyDescent="0.35">
      <c r="A6" s="2" t="s">
        <v>34</v>
      </c>
    </row>
    <row r="7" spans="1:1" ht="235" customHeight="1" x14ac:dyDescent="0.35">
      <c r="A7" s="2" t="s">
        <v>32</v>
      </c>
    </row>
    <row r="8" spans="1:1" ht="67" customHeight="1" x14ac:dyDescent="0.35">
      <c r="A8" s="2" t="s">
        <v>31</v>
      </c>
    </row>
    <row r="9" spans="1:1" x14ac:dyDescent="0.35">
      <c r="A9" s="2"/>
    </row>
    <row r="10" spans="1:1" x14ac:dyDescent="0.35">
      <c r="A10" s="2"/>
    </row>
    <row r="11" spans="1:1" x14ac:dyDescent="0.35">
      <c r="A11" s="2"/>
    </row>
    <row r="12" spans="1:1" x14ac:dyDescent="0.35">
      <c r="A12" s="2"/>
    </row>
    <row r="13" spans="1:1" x14ac:dyDescent="0.35">
      <c r="A13" s="2"/>
    </row>
    <row r="14" spans="1:1" x14ac:dyDescent="0.35">
      <c r="A14" s="2"/>
    </row>
    <row r="15" spans="1:1" x14ac:dyDescent="0.35">
      <c r="A15" s="2"/>
    </row>
    <row r="16" spans="1:1" x14ac:dyDescent="0.35">
      <c r="A16" s="2"/>
    </row>
    <row r="17" spans="1:1" x14ac:dyDescent="0.35">
      <c r="A17" s="2"/>
    </row>
    <row r="18" spans="1:1" x14ac:dyDescent="0.35">
      <c r="A18"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8BDD-F54B-4E5A-9D1F-58DAA8DC4F14}">
  <sheetPr>
    <pageSetUpPr fitToPage="1"/>
  </sheetPr>
  <dimension ref="A1:T24"/>
  <sheetViews>
    <sheetView tabSelected="1" topLeftCell="D1" zoomScale="80" zoomScaleNormal="80" workbookViewId="0">
      <selection activeCell="F19" sqref="F19"/>
    </sheetView>
  </sheetViews>
  <sheetFormatPr defaultColWidth="8.90625" defaultRowHeight="14" x14ac:dyDescent="0.35"/>
  <cols>
    <col min="1" max="1" width="41.7265625" style="14" customWidth="1"/>
    <col min="2" max="3" width="51.26953125" style="14" customWidth="1"/>
    <col min="4" max="4" width="16.54296875" style="14" customWidth="1"/>
    <col min="5" max="16" width="10.7265625" style="14" customWidth="1"/>
    <col min="17" max="17" width="39" style="14" customWidth="1"/>
    <col min="18" max="16384" width="8.90625" style="14"/>
  </cols>
  <sheetData>
    <row r="1" spans="1:20" s="6" customFormat="1" ht="29.15" customHeight="1" thickBot="1" x14ac:dyDescent="0.4">
      <c r="A1" s="29" t="s">
        <v>53</v>
      </c>
      <c r="B1" s="30"/>
      <c r="C1" s="30"/>
      <c r="D1" s="30"/>
      <c r="E1" s="30"/>
      <c r="F1" s="30"/>
      <c r="G1" s="30"/>
      <c r="H1" s="30"/>
      <c r="I1" s="30"/>
      <c r="J1" s="30"/>
      <c r="K1" s="30"/>
      <c r="L1" s="30"/>
      <c r="M1" s="30"/>
      <c r="N1" s="30"/>
      <c r="O1" s="30"/>
      <c r="P1" s="30"/>
      <c r="Q1" s="31"/>
    </row>
    <row r="2" spans="1:20" s="8" customFormat="1" ht="28.5" customHeight="1" x14ac:dyDescent="0.35">
      <c r="A2" s="32" t="s">
        <v>24</v>
      </c>
      <c r="B2" s="34" t="s">
        <v>25</v>
      </c>
      <c r="C2" s="36" t="s">
        <v>23</v>
      </c>
      <c r="D2" s="36" t="s">
        <v>27</v>
      </c>
      <c r="E2" s="28" t="s">
        <v>26</v>
      </c>
      <c r="F2" s="28"/>
      <c r="G2" s="28"/>
      <c r="H2" s="28" t="s">
        <v>7</v>
      </c>
      <c r="I2" s="28"/>
      <c r="J2" s="28"/>
      <c r="K2" s="28" t="s">
        <v>10</v>
      </c>
      <c r="L2" s="28"/>
      <c r="M2" s="28"/>
      <c r="N2" s="28" t="s">
        <v>8</v>
      </c>
      <c r="O2" s="28"/>
      <c r="P2" s="28"/>
      <c r="Q2" s="7" t="s">
        <v>9</v>
      </c>
    </row>
    <row r="3" spans="1:20" s="8" customFormat="1" ht="14.5" thickBot="1" x14ac:dyDescent="0.4">
      <c r="A3" s="33"/>
      <c r="B3" s="35"/>
      <c r="C3" s="37"/>
      <c r="D3" s="37"/>
      <c r="E3" s="16" t="s">
        <v>0</v>
      </c>
      <c r="F3" s="19" t="s">
        <v>1</v>
      </c>
      <c r="G3" s="9" t="s">
        <v>2</v>
      </c>
      <c r="H3" s="16" t="s">
        <v>6</v>
      </c>
      <c r="I3" s="19" t="s">
        <v>1</v>
      </c>
      <c r="J3" s="9" t="s">
        <v>3</v>
      </c>
      <c r="K3" s="16" t="s">
        <v>6</v>
      </c>
      <c r="L3" s="19" t="s">
        <v>1</v>
      </c>
      <c r="M3" s="9" t="s">
        <v>3</v>
      </c>
      <c r="N3" s="16" t="s">
        <v>6</v>
      </c>
      <c r="O3" s="19" t="s">
        <v>1</v>
      </c>
      <c r="P3" s="9" t="s">
        <v>3</v>
      </c>
      <c r="Q3" s="10"/>
      <c r="R3" s="8" t="s">
        <v>49</v>
      </c>
      <c r="S3" s="8" t="s">
        <v>49</v>
      </c>
    </row>
    <row r="4" spans="1:20" s="8" customFormat="1" ht="70" x14ac:dyDescent="0.35">
      <c r="A4" s="42" t="s">
        <v>14</v>
      </c>
      <c r="B4" s="43" t="s">
        <v>35</v>
      </c>
      <c r="C4" s="43" t="s">
        <v>50</v>
      </c>
      <c r="D4" s="44" t="s">
        <v>58</v>
      </c>
      <c r="E4" s="45"/>
      <c r="F4" s="46">
        <f>SUM([1]total!$D$4:$E$5,[1]total!$D$11:$E$11,[1]total!$D$18:$E$18,[1]total!$D$26:$E$26,O4)</f>
        <v>333449</v>
      </c>
      <c r="G4" s="47">
        <f>E4+F4</f>
        <v>333449</v>
      </c>
      <c r="H4" s="48"/>
      <c r="I4" s="46">
        <f>SUM([1]total!$E$4:$E$5,[1]total!$E$11,[1]total!$E$18)+[1]total!$E$26</f>
        <v>147278</v>
      </c>
      <c r="J4" s="47">
        <f>H4+I4</f>
        <v>147278</v>
      </c>
      <c r="K4" s="48"/>
      <c r="L4" s="46">
        <f>SUM([1]total!$D$4:$D$5,[1]total!$D$11,[1]total!$D$18,[1]total!$D$26)</f>
        <v>148159</v>
      </c>
      <c r="M4" s="47">
        <f>K4+L4</f>
        <v>148159</v>
      </c>
      <c r="N4" s="48"/>
      <c r="O4" s="46">
        <v>38012</v>
      </c>
      <c r="P4" s="47">
        <f>N4+O4</f>
        <v>38012</v>
      </c>
      <c r="Q4" s="49" t="s">
        <v>60</v>
      </c>
      <c r="R4" s="21">
        <f>I4+L4+O4</f>
        <v>333449</v>
      </c>
      <c r="S4" s="21">
        <f>R4-F4</f>
        <v>0</v>
      </c>
    </row>
    <row r="5" spans="1:20" s="8" customFormat="1" ht="69.5" customHeight="1" x14ac:dyDescent="0.35">
      <c r="A5" s="3" t="s">
        <v>14</v>
      </c>
      <c r="B5" s="4" t="s">
        <v>36</v>
      </c>
      <c r="C5" s="4" t="s">
        <v>51</v>
      </c>
      <c r="D5" s="50" t="s">
        <v>59</v>
      </c>
      <c r="E5" s="17"/>
      <c r="F5" s="20">
        <f>SUM([1]total!$D$6:$E$7,[1]total!$D$10:$E$10,[1]total!$D$14:$E$14,[1]total!$D$19:$E$19,[1]total!$D$23:$E$23)</f>
        <v>281174.5</v>
      </c>
      <c r="G5" s="11">
        <f t="shared" ref="G5:G15" si="0">E5+F5</f>
        <v>281174.5</v>
      </c>
      <c r="H5" s="18"/>
      <c r="I5" s="20">
        <f>SUM([1]total!$E$6:$E$7,[1]total!$E$10,[1]total!$E$14,[1]total!$E$19)</f>
        <v>130299.5</v>
      </c>
      <c r="J5" s="11">
        <f t="shared" ref="J5:J15" si="1">H5+I5</f>
        <v>130299.5</v>
      </c>
      <c r="K5" s="18"/>
      <c r="L5" s="20">
        <f>SUM([1]total!$D$6:$D$7,[1]total!$D$10,[1]total!$D$14,[1]total!$D$19)</f>
        <v>150875</v>
      </c>
      <c r="M5" s="11">
        <f t="shared" ref="M5:M15" si="2">K5+L5</f>
        <v>150875</v>
      </c>
      <c r="N5" s="18"/>
      <c r="O5" s="20"/>
      <c r="P5" s="11">
        <f t="shared" ref="P5:P15" si="3">N5+O5</f>
        <v>0</v>
      </c>
      <c r="Q5" s="12"/>
      <c r="R5" s="21">
        <f t="shared" ref="R5:R15" si="4">I5+L5+O5</f>
        <v>281174.5</v>
      </c>
      <c r="S5" s="21">
        <f t="shared" ref="S5:S15" si="5">R5-F5</f>
        <v>0</v>
      </c>
    </row>
    <row r="6" spans="1:20" s="8" customFormat="1" ht="42" x14ac:dyDescent="0.35">
      <c r="A6" s="3" t="s">
        <v>14</v>
      </c>
      <c r="B6" s="4" t="s">
        <v>37</v>
      </c>
      <c r="C6" s="4" t="s">
        <v>52</v>
      </c>
      <c r="D6" s="5">
        <v>45901</v>
      </c>
      <c r="E6" s="17"/>
      <c r="F6" s="20">
        <f>[1]total!$F$15</f>
        <v>120360.25</v>
      </c>
      <c r="G6" s="11">
        <f t="shared" si="0"/>
        <v>120360.25</v>
      </c>
      <c r="H6" s="18"/>
      <c r="I6" s="20">
        <f>[1]total!$E$15</f>
        <v>67860.25</v>
      </c>
      <c r="J6" s="11">
        <f t="shared" si="1"/>
        <v>67860.25</v>
      </c>
      <c r="K6" s="18"/>
      <c r="L6" s="20">
        <f>[1]total!$D$15</f>
        <v>52500</v>
      </c>
      <c r="M6" s="11">
        <f t="shared" si="2"/>
        <v>52500</v>
      </c>
      <c r="N6" s="18"/>
      <c r="O6" s="20"/>
      <c r="P6" s="11">
        <f t="shared" si="3"/>
        <v>0</v>
      </c>
      <c r="Q6" s="12"/>
      <c r="R6" s="21">
        <f t="shared" si="4"/>
        <v>120360.25</v>
      </c>
      <c r="S6" s="21">
        <f t="shared" si="5"/>
        <v>0</v>
      </c>
      <c r="T6" s="21"/>
    </row>
    <row r="7" spans="1:20" s="8" customFormat="1" ht="70.5" thickBot="1" x14ac:dyDescent="0.4">
      <c r="A7" s="3" t="s">
        <v>15</v>
      </c>
      <c r="B7" s="4" t="s">
        <v>38</v>
      </c>
      <c r="C7" s="4" t="s">
        <v>39</v>
      </c>
      <c r="D7" s="5">
        <v>46023</v>
      </c>
      <c r="E7" s="17"/>
      <c r="F7" s="20">
        <f>'[2]Del Plan rev Jun 25'!$H$24+'[2]Del Plan rev Jun 25'!$I$24+'[2]Del Plan rev Jun 25'!$J$24</f>
        <v>160000</v>
      </c>
      <c r="G7" s="11">
        <f t="shared" si="0"/>
        <v>160000</v>
      </c>
      <c r="H7" s="18"/>
      <c r="I7" s="20">
        <f>F7</f>
        <v>160000</v>
      </c>
      <c r="J7" s="11">
        <f t="shared" si="1"/>
        <v>160000</v>
      </c>
      <c r="K7" s="18"/>
      <c r="L7" s="20">
        <f t="shared" ref="L7" si="6">F7-I7</f>
        <v>0</v>
      </c>
      <c r="M7" s="11">
        <f t="shared" si="2"/>
        <v>0</v>
      </c>
      <c r="N7" s="18"/>
      <c r="O7" s="20"/>
      <c r="P7" s="11">
        <f t="shared" si="3"/>
        <v>0</v>
      </c>
      <c r="Q7" s="12"/>
      <c r="R7" s="21">
        <f t="shared" si="4"/>
        <v>160000</v>
      </c>
      <c r="S7" s="21">
        <f t="shared" si="5"/>
        <v>0</v>
      </c>
    </row>
    <row r="8" spans="1:20" s="8" customFormat="1" ht="28.5" thickBot="1" x14ac:dyDescent="0.35">
      <c r="A8" s="3"/>
      <c r="B8" s="4" t="s">
        <v>63</v>
      </c>
      <c r="C8" s="41" t="s">
        <v>64</v>
      </c>
      <c r="D8" s="5">
        <v>45992</v>
      </c>
      <c r="E8" s="17"/>
      <c r="F8" s="20">
        <f>'[2]Del Plan rev Jun 25'!$I$19</f>
        <v>50000</v>
      </c>
      <c r="G8" s="11">
        <f t="shared" si="0"/>
        <v>50000</v>
      </c>
      <c r="H8" s="18"/>
      <c r="I8" s="20">
        <f>F8</f>
        <v>50000</v>
      </c>
      <c r="J8" s="11">
        <f>G8</f>
        <v>50000</v>
      </c>
      <c r="K8" s="18"/>
      <c r="L8" s="20"/>
      <c r="M8" s="11"/>
      <c r="N8" s="18"/>
      <c r="O8" s="20"/>
      <c r="P8" s="11"/>
      <c r="Q8" s="12"/>
      <c r="R8" s="21"/>
      <c r="S8" s="21"/>
    </row>
    <row r="9" spans="1:20" s="8" customFormat="1" ht="42" x14ac:dyDescent="0.35">
      <c r="A9" s="3" t="s">
        <v>21</v>
      </c>
      <c r="B9" s="4" t="s">
        <v>40</v>
      </c>
      <c r="C9" s="4" t="s">
        <v>43</v>
      </c>
      <c r="D9" s="5">
        <v>46023</v>
      </c>
      <c r="E9" s="17">
        <f>'[2]Del Plan rev Jun 25'!$K$26+N9</f>
        <v>125000</v>
      </c>
      <c r="F9" s="20">
        <f>'[2]Del Plan rev Jun 25'!$H$26</f>
        <v>25000</v>
      </c>
      <c r="G9" s="11">
        <f t="shared" si="0"/>
        <v>150000</v>
      </c>
      <c r="H9" s="18">
        <f>'[2]BSIP proposal'!$K$26</f>
        <v>100000</v>
      </c>
      <c r="I9" s="20"/>
      <c r="J9" s="11">
        <f t="shared" si="1"/>
        <v>100000</v>
      </c>
      <c r="K9" s="18"/>
      <c r="L9" s="20">
        <f>F9</f>
        <v>25000</v>
      </c>
      <c r="M9" s="11">
        <f t="shared" si="2"/>
        <v>25000</v>
      </c>
      <c r="N9" s="18">
        <v>25000</v>
      </c>
      <c r="O9" s="20"/>
      <c r="P9" s="11">
        <f t="shared" si="3"/>
        <v>25000</v>
      </c>
      <c r="Q9" s="13" t="s">
        <v>54</v>
      </c>
      <c r="R9" s="21">
        <f t="shared" si="4"/>
        <v>25000</v>
      </c>
      <c r="S9" s="21">
        <f t="shared" si="5"/>
        <v>0</v>
      </c>
    </row>
    <row r="10" spans="1:20" s="8" customFormat="1" ht="42" x14ac:dyDescent="0.35">
      <c r="A10" s="3" t="s">
        <v>21</v>
      </c>
      <c r="B10" s="4" t="s">
        <v>41</v>
      </c>
      <c r="C10" s="4" t="s">
        <v>65</v>
      </c>
      <c r="D10" s="5">
        <v>46023</v>
      </c>
      <c r="E10" s="17">
        <f>'[2]Del Plan rev Jun 25'!$K$29+'[2]Del Plan rev Jun 25'!$K$31+'[2]Del Plan rev Jun 25'!$K$33</f>
        <v>75000</v>
      </c>
      <c r="F10" s="20">
        <f>'[2]Del Plan rev Jun 25'!$H$28+'[2]Del Plan rev Jun 25'!$H$30+'[2]Del Plan rev Jun 25'!$H$32</f>
        <v>10000</v>
      </c>
      <c r="G10" s="11">
        <f t="shared" si="0"/>
        <v>85000</v>
      </c>
      <c r="H10" s="18">
        <f>E10</f>
        <v>75000</v>
      </c>
      <c r="I10" s="20"/>
      <c r="J10" s="11">
        <f t="shared" si="1"/>
        <v>75000</v>
      </c>
      <c r="K10" s="18"/>
      <c r="L10" s="20">
        <f>F10</f>
        <v>10000</v>
      </c>
      <c r="M10" s="11">
        <f t="shared" si="2"/>
        <v>10000</v>
      </c>
      <c r="N10" s="18"/>
      <c r="O10" s="20"/>
      <c r="P10" s="11">
        <f t="shared" si="3"/>
        <v>0</v>
      </c>
      <c r="Q10" s="12"/>
      <c r="R10" s="21">
        <f t="shared" si="4"/>
        <v>10000</v>
      </c>
      <c r="S10" s="21">
        <f t="shared" si="5"/>
        <v>0</v>
      </c>
    </row>
    <row r="11" spans="1:20" s="8" customFormat="1" ht="84" x14ac:dyDescent="0.35">
      <c r="A11" s="3" t="s">
        <v>11</v>
      </c>
      <c r="B11" s="4" t="s">
        <v>42</v>
      </c>
      <c r="C11" s="4" t="s">
        <v>44</v>
      </c>
      <c r="D11" s="5">
        <v>46023</v>
      </c>
      <c r="E11" s="17">
        <f>'[2]Del Plan rev Jun 25'!$K$38</f>
        <v>225000</v>
      </c>
      <c r="F11" s="20">
        <f>'[2]Del Plan rev Jun 25'!$H$38</f>
        <v>90000</v>
      </c>
      <c r="G11" s="11">
        <f t="shared" si="0"/>
        <v>315000</v>
      </c>
      <c r="H11" s="18">
        <f>'[2]BSIP proposal'!$K$43</f>
        <v>225000</v>
      </c>
      <c r="I11" s="20"/>
      <c r="J11" s="11">
        <f t="shared" si="1"/>
        <v>225000</v>
      </c>
      <c r="K11" s="18"/>
      <c r="L11" s="20">
        <f>'[2]BSIP proposal'!$H$38</f>
        <v>90000</v>
      </c>
      <c r="M11" s="11">
        <f t="shared" si="2"/>
        <v>90000</v>
      </c>
      <c r="N11" s="18"/>
      <c r="O11" s="20"/>
      <c r="P11" s="11">
        <f t="shared" si="3"/>
        <v>0</v>
      </c>
      <c r="Q11" s="12"/>
      <c r="R11" s="21">
        <f t="shared" si="4"/>
        <v>90000</v>
      </c>
      <c r="S11" s="21">
        <f t="shared" si="5"/>
        <v>0</v>
      </c>
    </row>
    <row r="12" spans="1:20" s="8" customFormat="1" ht="56" x14ac:dyDescent="0.35">
      <c r="A12" s="3" t="s">
        <v>21</v>
      </c>
      <c r="B12" s="4" t="s">
        <v>45</v>
      </c>
      <c r="C12" s="4" t="s">
        <v>48</v>
      </c>
      <c r="D12" s="5">
        <v>46023</v>
      </c>
      <c r="E12" s="17">
        <f>'[2]Del Plan rev Jun 25'!$K$43+P12</f>
        <v>250000</v>
      </c>
      <c r="F12" s="20">
        <f>'[2]Del Plan rev Jun 25'!$H$43</f>
        <v>100000</v>
      </c>
      <c r="G12" s="11">
        <f t="shared" si="0"/>
        <v>350000</v>
      </c>
      <c r="H12" s="18">
        <f>'[2]BSIP proposal'!$K$43</f>
        <v>225000</v>
      </c>
      <c r="I12" s="20"/>
      <c r="J12" s="11">
        <f t="shared" si="1"/>
        <v>225000</v>
      </c>
      <c r="K12" s="18"/>
      <c r="L12" s="20">
        <v>100000</v>
      </c>
      <c r="M12" s="11">
        <f t="shared" si="2"/>
        <v>100000</v>
      </c>
      <c r="N12" s="18">
        <v>25000</v>
      </c>
      <c r="O12" s="20"/>
      <c r="P12" s="11">
        <f t="shared" si="3"/>
        <v>25000</v>
      </c>
      <c r="Q12" s="13" t="s">
        <v>54</v>
      </c>
      <c r="R12" s="21">
        <f t="shared" si="4"/>
        <v>100000</v>
      </c>
      <c r="S12" s="21">
        <f t="shared" si="5"/>
        <v>0</v>
      </c>
    </row>
    <row r="13" spans="1:20" s="8" customFormat="1" ht="42" x14ac:dyDescent="0.35">
      <c r="A13" s="3" t="s">
        <v>21</v>
      </c>
      <c r="B13" s="4" t="s">
        <v>55</v>
      </c>
      <c r="C13" s="4" t="s">
        <v>61</v>
      </c>
      <c r="D13" s="5">
        <v>46023</v>
      </c>
      <c r="E13" s="22"/>
      <c r="F13" s="23">
        <v>50000</v>
      </c>
      <c r="G13" s="11">
        <f t="shared" si="0"/>
        <v>50000</v>
      </c>
      <c r="H13" s="25"/>
      <c r="I13" s="23"/>
      <c r="J13" s="24"/>
      <c r="K13" s="25"/>
      <c r="L13" s="23">
        <v>50000</v>
      </c>
      <c r="M13" s="11">
        <f t="shared" si="2"/>
        <v>50000</v>
      </c>
      <c r="N13" s="25"/>
      <c r="O13" s="23"/>
      <c r="P13" s="24"/>
      <c r="Q13" s="13"/>
      <c r="R13" s="21">
        <f t="shared" ref="R13:R14" si="7">I13+L13+O13</f>
        <v>50000</v>
      </c>
      <c r="S13" s="21">
        <f t="shared" ref="S13:S14" si="8">R13-F13</f>
        <v>0</v>
      </c>
    </row>
    <row r="14" spans="1:20" s="8" customFormat="1" ht="34" customHeight="1" x14ac:dyDescent="0.35">
      <c r="A14" s="3" t="s">
        <v>22</v>
      </c>
      <c r="B14" s="4" t="s">
        <v>56</v>
      </c>
      <c r="C14" s="4" t="s">
        <v>62</v>
      </c>
      <c r="D14" s="5">
        <v>46023</v>
      </c>
      <c r="E14" s="22"/>
      <c r="F14" s="23">
        <v>50000</v>
      </c>
      <c r="G14" s="11">
        <f t="shared" si="0"/>
        <v>50000</v>
      </c>
      <c r="H14" s="25"/>
      <c r="I14" s="23"/>
      <c r="J14" s="24"/>
      <c r="K14" s="25"/>
      <c r="L14" s="23">
        <v>50000</v>
      </c>
      <c r="M14" s="11">
        <f t="shared" si="2"/>
        <v>50000</v>
      </c>
      <c r="N14" s="25"/>
      <c r="O14" s="23"/>
      <c r="P14" s="24"/>
      <c r="Q14" s="13"/>
      <c r="R14" s="21">
        <f t="shared" si="7"/>
        <v>50000</v>
      </c>
      <c r="S14" s="21">
        <f t="shared" si="8"/>
        <v>0</v>
      </c>
    </row>
    <row r="15" spans="1:20" s="8" customFormat="1" ht="56" x14ac:dyDescent="0.35">
      <c r="A15" s="3" t="s">
        <v>11</v>
      </c>
      <c r="B15" s="4" t="s">
        <v>46</v>
      </c>
      <c r="C15" s="4" t="s">
        <v>47</v>
      </c>
      <c r="D15" s="5">
        <v>46023</v>
      </c>
      <c r="E15" s="22">
        <f>'[2]Del Plan rev Jun 25'!$K$47+'[2]Del Plan rev Jun 25'!$K$55</f>
        <v>292715</v>
      </c>
      <c r="F15" s="23">
        <f>'[2]Del Plan rev Jun 25'!$H$45</f>
        <v>10000</v>
      </c>
      <c r="G15" s="24">
        <f t="shared" si="0"/>
        <v>302715</v>
      </c>
      <c r="H15" s="25">
        <f>E15</f>
        <v>292715</v>
      </c>
      <c r="I15" s="23"/>
      <c r="J15" s="24">
        <f t="shared" si="1"/>
        <v>292715</v>
      </c>
      <c r="K15" s="25"/>
      <c r="L15" s="23">
        <f>F15</f>
        <v>10000</v>
      </c>
      <c r="M15" s="24">
        <f t="shared" si="2"/>
        <v>10000</v>
      </c>
      <c r="N15" s="25"/>
      <c r="O15" s="23"/>
      <c r="P15" s="24"/>
      <c r="Q15" s="12"/>
      <c r="R15" s="21">
        <f t="shared" si="4"/>
        <v>10000</v>
      </c>
      <c r="S15" s="21">
        <f t="shared" si="5"/>
        <v>0</v>
      </c>
    </row>
    <row r="16" spans="1:20" s="8" customFormat="1" x14ac:dyDescent="0.35">
      <c r="A16" s="38" t="s">
        <v>19</v>
      </c>
      <c r="B16" s="51" t="s">
        <v>57</v>
      </c>
      <c r="C16" s="51" t="s">
        <v>57</v>
      </c>
      <c r="D16" s="5">
        <v>46082</v>
      </c>
      <c r="E16" s="22"/>
      <c r="F16" s="23">
        <v>63000</v>
      </c>
      <c r="G16" s="24"/>
      <c r="H16" s="25"/>
      <c r="I16" s="23">
        <v>63000</v>
      </c>
      <c r="J16" s="24"/>
      <c r="K16" s="25"/>
      <c r="L16" s="23"/>
      <c r="M16" s="24"/>
      <c r="N16" s="25"/>
      <c r="O16" s="23"/>
      <c r="P16" s="24"/>
      <c r="Q16" s="39"/>
      <c r="R16" s="21"/>
      <c r="S16" s="21"/>
    </row>
    <row r="17" spans="2:18" x14ac:dyDescent="0.35">
      <c r="E17" s="26">
        <f>SUM(E4:E16)</f>
        <v>967715</v>
      </c>
      <c r="F17" s="27">
        <f t="shared" ref="F17:P17" si="9">SUM(F4:F16)</f>
        <v>1342983.75</v>
      </c>
      <c r="G17" s="40">
        <f t="shared" si="9"/>
        <v>2247698.75</v>
      </c>
      <c r="H17" s="26">
        <f t="shared" si="9"/>
        <v>917715</v>
      </c>
      <c r="I17" s="27">
        <f t="shared" si="9"/>
        <v>618437.75</v>
      </c>
      <c r="J17" s="40">
        <f t="shared" si="9"/>
        <v>1473152.75</v>
      </c>
      <c r="K17" s="26">
        <f t="shared" si="9"/>
        <v>0</v>
      </c>
      <c r="L17" s="27">
        <f t="shared" si="9"/>
        <v>686534</v>
      </c>
      <c r="M17" s="40">
        <f t="shared" si="9"/>
        <v>686534</v>
      </c>
      <c r="N17" s="26">
        <f t="shared" si="9"/>
        <v>50000</v>
      </c>
      <c r="O17" s="27">
        <f t="shared" si="9"/>
        <v>38012</v>
      </c>
      <c r="P17" s="40">
        <f t="shared" si="9"/>
        <v>88012</v>
      </c>
      <c r="Q17" s="15">
        <f>E17-H17-K17-N17</f>
        <v>0</v>
      </c>
      <c r="R17" s="15">
        <f>F17-I17-L17-O17</f>
        <v>0</v>
      </c>
    </row>
    <row r="18" spans="2:18" x14ac:dyDescent="0.35">
      <c r="E18" s="15"/>
      <c r="F18" s="15"/>
      <c r="G18" s="15"/>
      <c r="H18" s="15"/>
      <c r="I18" s="15"/>
      <c r="J18" s="15"/>
      <c r="K18" s="15"/>
      <c r="L18" s="15"/>
      <c r="M18" s="15"/>
      <c r="N18" s="15"/>
      <c r="O18" s="15"/>
      <c r="P18" s="15"/>
    </row>
    <row r="19" spans="2:18" x14ac:dyDescent="0.35">
      <c r="E19" s="15"/>
      <c r="F19" s="15"/>
      <c r="G19" s="15"/>
      <c r="H19" s="15"/>
      <c r="I19" s="15"/>
      <c r="J19" s="15"/>
      <c r="K19" s="15"/>
      <c r="L19" s="15"/>
      <c r="M19" s="15"/>
      <c r="N19" s="15"/>
      <c r="O19" s="15"/>
      <c r="P19" s="15"/>
    </row>
    <row r="20" spans="2:18" x14ac:dyDescent="0.35">
      <c r="E20" s="15"/>
      <c r="F20" s="15"/>
      <c r="G20" s="15"/>
      <c r="H20" s="15"/>
      <c r="I20" s="15"/>
      <c r="J20" s="15"/>
      <c r="K20" s="15"/>
      <c r="L20" s="15"/>
      <c r="M20" s="15"/>
      <c r="N20" s="15"/>
      <c r="O20" s="15"/>
      <c r="P20" s="15"/>
    </row>
    <row r="21" spans="2:18" x14ac:dyDescent="0.35">
      <c r="F21" s="15"/>
      <c r="I21" s="15"/>
      <c r="L21" s="15"/>
    </row>
    <row r="22" spans="2:18" x14ac:dyDescent="0.35">
      <c r="F22" s="15"/>
      <c r="I22" s="15"/>
      <c r="L22" s="15"/>
    </row>
    <row r="23" spans="2:18" x14ac:dyDescent="0.35">
      <c r="I23" s="15"/>
    </row>
    <row r="24" spans="2:18" x14ac:dyDescent="0.35">
      <c r="B24" s="14" t="s">
        <v>4</v>
      </c>
      <c r="F24" s="15"/>
      <c r="I24" s="15"/>
    </row>
  </sheetData>
  <mergeCells count="9">
    <mergeCell ref="E2:G2"/>
    <mergeCell ref="H2:J2"/>
    <mergeCell ref="A1:Q1"/>
    <mergeCell ref="K2:M2"/>
    <mergeCell ref="N2:P2"/>
    <mergeCell ref="A2:A3"/>
    <mergeCell ref="B2:B3"/>
    <mergeCell ref="C2:C3"/>
    <mergeCell ref="D2:D3"/>
  </mergeCells>
  <phoneticPr fontId="6" type="noConversion"/>
  <dataValidations count="1">
    <dataValidation type="list" allowBlank="1" showInputMessage="1" showErrorMessage="1" sqref="A17:A273" xr:uid="{DBB2DDF5-04FF-4DCA-A164-8CEF5FBDA1A6}">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74"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8FE7C9-B38E-4655-9790-9094CEBB923A}">
          <x14:formula1>
            <xm:f>'Scheme categories list'!$A$2:$A$13</xm:f>
          </x14:formula1>
          <xm:sqref>A4:A16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workbookViewId="0">
      <selection activeCell="A23" sqref="A23"/>
    </sheetView>
  </sheetViews>
  <sheetFormatPr defaultRowHeight="14.5" x14ac:dyDescent="0.35"/>
  <cols>
    <col min="1" max="1" width="38.1796875" customWidth="1"/>
  </cols>
  <sheetData>
    <row r="1" spans="1:1" x14ac:dyDescent="0.35">
      <c r="A1" t="s">
        <v>5</v>
      </c>
    </row>
    <row r="2" spans="1:1" x14ac:dyDescent="0.35">
      <c r="A2" t="s">
        <v>11</v>
      </c>
    </row>
    <row r="3" spans="1:1" x14ac:dyDescent="0.35">
      <c r="A3" t="s">
        <v>21</v>
      </c>
    </row>
    <row r="4" spans="1:1" x14ac:dyDescent="0.35">
      <c r="A4" t="s">
        <v>12</v>
      </c>
    </row>
    <row r="5" spans="1:1" x14ac:dyDescent="0.35">
      <c r="A5" t="s">
        <v>22</v>
      </c>
    </row>
    <row r="6" spans="1:1" x14ac:dyDescent="0.35">
      <c r="A6" t="s">
        <v>13</v>
      </c>
    </row>
    <row r="7" spans="1:1" x14ac:dyDescent="0.35">
      <c r="A7" t="s">
        <v>14</v>
      </c>
    </row>
    <row r="8" spans="1:1" x14ac:dyDescent="0.35">
      <c r="A8" t="s">
        <v>15</v>
      </c>
    </row>
    <row r="9" spans="1:1" x14ac:dyDescent="0.35">
      <c r="A9" t="s">
        <v>16</v>
      </c>
    </row>
    <row r="10" spans="1:1" x14ac:dyDescent="0.35">
      <c r="A10" t="s">
        <v>17</v>
      </c>
    </row>
    <row r="11" spans="1:1" x14ac:dyDescent="0.35">
      <c r="A11" t="s">
        <v>18</v>
      </c>
    </row>
    <row r="12" spans="1:1" x14ac:dyDescent="0.35">
      <c r="A12" t="s">
        <v>19</v>
      </c>
    </row>
    <row r="13" spans="1:1" x14ac:dyDescent="0.35">
      <c r="A13" t="s">
        <v>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a093b-92fb-47af-b094-ba4015b85c26">
      <Terms xmlns="http://schemas.microsoft.com/office/infopath/2007/PartnerControls"/>
    </lcf76f155ced4ddcb4097134ff3c332f>
    <TaxCatchAll xmlns="5ba8fc71-633e-4a77-b719-10c8062cd999" xsi:nil="true"/>
    <Notes xmlns="332a093b-92fb-47af-b094-ba4015b85c2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DCB28E5D5C5844C8B235E466F290FC2" ma:contentTypeVersion="16" ma:contentTypeDescription="Create a new document." ma:contentTypeScope="" ma:versionID="66af7054b6a88f711805a69959bda09a">
  <xsd:schema xmlns:xsd="http://www.w3.org/2001/XMLSchema" xmlns:xs="http://www.w3.org/2001/XMLSchema" xmlns:p="http://schemas.microsoft.com/office/2006/metadata/properties" xmlns:ns2="332a093b-92fb-47af-b094-ba4015b85c26" xmlns:ns3="5ba8fc71-633e-4a77-b719-10c8062cd999" targetNamespace="http://schemas.microsoft.com/office/2006/metadata/properties" ma:root="true" ma:fieldsID="2a7c4c3af19f8fced53b6a76b3d7b3a7" ns2:_="" ns3:_="">
    <xsd:import namespace="332a093b-92fb-47af-b094-ba4015b85c26"/>
    <xsd:import namespace="5ba8fc71-633e-4a77-b719-10c8062c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Note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a093b-92fb-47af-b094-ba4015b85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Martin's notes" ma:format="Dropdown" ma:internalName="Notes">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8fc71-633e-4a77-b719-10c8062cd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55f8dd-5925-42f8-919f-ce8159c6e83b}" ma:internalName="TaxCatchAll" ma:showField="CatchAllData" ma:web="5ba8fc71-633e-4a77-b719-10c8062c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2.xml><?xml version="1.0" encoding="utf-8"?>
<ds:datastoreItem xmlns:ds="http://schemas.openxmlformats.org/officeDocument/2006/customXml" ds:itemID="{6713F472-B2CC-4ADB-908D-CA0001FAE343}">
  <ds:schemaRefs>
    <ds:schemaRef ds:uri="http://schemas.microsoft.com/PowerBIAddIn"/>
  </ds:schemaRefs>
</ds:datastoreItem>
</file>

<file path=customXml/itemProps3.xml><?xml version="1.0" encoding="utf-8"?>
<ds:datastoreItem xmlns:ds="http://schemas.openxmlformats.org/officeDocument/2006/customXml" ds:itemID="{FFD59083-B6FC-4428-88D4-91FE3A6645E8}">
  <ds:schemaRefs>
    <ds:schemaRef ds:uri="http://schemas.microsoft.com/office/2006/metadata/properties"/>
    <ds:schemaRef ds:uri="http://schemas.microsoft.com/office/infopath/2007/PartnerControls"/>
    <ds:schemaRef ds:uri="332a093b-92fb-47af-b094-ba4015b85c26"/>
    <ds:schemaRef ds:uri="5ba8fc71-633e-4a77-b719-10c8062cd999"/>
  </ds:schemaRefs>
</ds:datastoreItem>
</file>

<file path=customXml/itemProps4.xml><?xml version="1.0" encoding="utf-8"?>
<ds:datastoreItem xmlns:ds="http://schemas.openxmlformats.org/officeDocument/2006/customXml" ds:itemID="{C163ABEE-9A5E-450D-8C3F-057503AD5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a093b-92fb-47af-b094-ba4015b85c26"/>
    <ds:schemaRef ds:uri="5ba8fc71-633e-4a77-b719-10c8062c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vt:lpstr>
      <vt:lpstr>Scheme categories list</vt:lpstr>
      <vt:lpstr>'Delivery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Gamble, Matt</cp:lastModifiedBy>
  <cp:revision/>
  <dcterms:created xsi:type="dcterms:W3CDTF">2024-04-17T13:52:50Z</dcterms:created>
  <dcterms:modified xsi:type="dcterms:W3CDTF">2025-06-25T19:00:02Z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0x0101002DCB28E5D5C5844C8B235E466F290FC2</vt:lpwstr>
  </property>
</Properties>
</file>